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<sst xmlns="http://schemas.openxmlformats.org/spreadsheetml/2006/main" count="99" uniqueCount="87">
  <si>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K=</t>
  </si>
  <si>
    <t>Hz</t>
  </si>
  <si>
    <t>Fs</t>
  </si>
  <si>
    <t>Re</t>
  </si>
  <si>
    <t>ohms</t>
  </si>
  <si>
    <t>Qms</t>
  </si>
  <si>
    <t>cm</t>
  </si>
  <si>
    <t>Qes</t>
  </si>
  <si>
    <t>Qts</t>
  </si>
  <si>
    <t>Mms/d</t>
  </si>
  <si>
    <t>gr</t>
  </si>
  <si>
    <t>Sd</t>
  </si>
  <si>
    <t>litres</t>
  </si>
  <si>
    <t>Vb</t>
  </si>
  <si>
    <t>Cms</t>
  </si>
  <si>
    <t>Vas</t>
  </si>
  <si>
    <t>Vas*Qts2</t>
  </si>
  <si>
    <t>n =</t>
  </si>
  <si>
    <t>F-3</t>
  </si>
  <si>
    <t>Fb</t>
  </si>
  <si>
    <t>Cab</t>
  </si>
  <si>
    <t>Map</t>
  </si>
  <si>
    <t>Vas*Qts2’</t>
  </si>
  <si>
    <t>nO</t>
  </si>
  <si>
    <t>dB 1w/1m</t>
  </si>
  <si>
    <t>dB</t>
  </si>
  <si>
    <t>Width</t>
  </si>
  <si>
    <t>Height</t>
  </si>
  <si>
    <t>Quantity</t>
  </si>
  <si>
    <t>(best 5.7)</t>
  </si>
  <si>
    <t>L vent</t>
  </si>
  <si>
    <t>L’ vent</t>
  </si>
  <si>
    <t>S vent</t>
  </si>
  <si>
    <t>ONKEN CALCULATOR</t>
  </si>
  <si>
    <t xml:space="preserve">K= </t>
  </si>
  <si>
    <t>After original research from M. Eijiro Koïzumi and Jacques Mahul and Jean Hiraga calculations.</t>
  </si>
  <si>
    <t>Rg</t>
  </si>
  <si>
    <t>Vent volume</t>
  </si>
  <si>
    <t>cm^2</t>
  </si>
  <si>
    <t>m^2</t>
  </si>
  <si>
    <t>by Cyr-Marc Debien 2000 © cdebien@cmaisonneuve.qc.ca</t>
  </si>
  <si>
    <t>Vb Total</t>
  </si>
  <si>
    <t>acoustical box compliance</t>
  </si>
  <si>
    <t>acoustical mass box</t>
  </si>
  <si>
    <t>Параметры Тиля-Смолла</t>
  </si>
  <si>
    <t>Сопротивление постоянному току (dc resistance of driver)</t>
  </si>
  <si>
    <t>Механическая добротность (mechanical Q of the driver)</t>
  </si>
  <si>
    <t>Электрическая добротность (electrical Q of the driver)</t>
  </si>
  <si>
    <t>Эквивалентный объем - расчитывается программой.</t>
  </si>
  <si>
    <t>Полная добротность-расчитывается программой (total Q of driver at Fs calculated by the software)</t>
  </si>
  <si>
    <t>С помощью этого параметра надо подогнать длину туннелей ниже 30 см,и не</t>
  </si>
  <si>
    <t xml:space="preserve">Однако сплошь и рядом описаны конструкции с длиной тоннелей 30-45 см. </t>
  </si>
  <si>
    <t>Onken - параметр (наилучший = 5.7, Onken параметр = 6.34)</t>
  </si>
  <si>
    <t>Частота среза АС по уровню -3 dB</t>
  </si>
  <si>
    <t>Частота среза АС</t>
  </si>
  <si>
    <t>Общая эффективность АС, включая Rg</t>
  </si>
  <si>
    <t>Параметры корпуса и АС</t>
  </si>
  <si>
    <t>Длина тоннелей</t>
  </si>
  <si>
    <t>Эффективная длина</t>
  </si>
  <si>
    <t>Скорректированная эффективная длина. Именно она используется в расчетах.</t>
  </si>
  <si>
    <t>Если L' больше 35 см, то данный драйвер не подходит для данного типа АО.</t>
  </si>
  <si>
    <t>Как я отмечал выше, на самом деле это не совсем так.</t>
  </si>
  <si>
    <t>Ширина тоннелейt</t>
  </si>
  <si>
    <t>Высота одного тоннеля.</t>
  </si>
  <si>
    <t>Общая площадь тоннелей (не более чем на 15 % меньше Sd)</t>
  </si>
  <si>
    <t>Общий объем АС (без туннелей)</t>
  </si>
  <si>
    <t>Общий объем АС+объем туннелей.</t>
  </si>
  <si>
    <t>Объем АС</t>
  </si>
  <si>
    <r>
      <t>Размеры тоннелей - п</t>
    </r>
    <r>
      <rPr>
        <b/>
        <sz val="9"/>
        <color indexed="9"/>
        <rFont val="Arial"/>
        <family val="0"/>
      </rPr>
      <t>лощадь должна быть равна Sd или меньше не более чем на 15 %</t>
    </r>
  </si>
  <si>
    <t>Количество тоннелей. Может быть 6 или 8 .</t>
  </si>
  <si>
    <t>Частота собственного  резонанса (driver frequency resonnance)</t>
  </si>
  <si>
    <t>Эффективная масса подвижной системы (total cone assembly mass)</t>
  </si>
  <si>
    <t>Эффективная площадь диффузора в м. кв. (effective radiation area of the driver cone)</t>
  </si>
  <si>
    <t>Выходное сопротивление источника сигнала -провода, разъемы, усилитель и т.д.</t>
  </si>
  <si>
    <t>Гибкость подвижной системы - расчитывается программой.</t>
  </si>
  <si>
    <t>использовать большие величины, так как это не есть гуд для данного подхода.</t>
  </si>
  <si>
    <t xml:space="preserve">Фактор Кодзуми </t>
  </si>
  <si>
    <t>Площадь тоннелей. Расчитывается в разделе "Размер тоннелей"</t>
  </si>
  <si>
    <t>Общий объем тоннелей</t>
  </si>
  <si>
    <t>Результат расчета довольно сильно зависит от этого параметра.</t>
  </si>
  <si>
    <t>Вы можете изменять поля красного цвета. Поля зеленого цвета расчитываются программой.</t>
  </si>
  <si>
    <t>Комментарии :</t>
  </si>
  <si>
    <t>1. В настоящий момент Онкен калькулятор является единственным доступным математическим описанием</t>
  </si>
  <si>
    <t xml:space="preserve">    акустического оформления Jensen-Onken.</t>
  </si>
  <si>
    <t xml:space="preserve">2. По всей видимости в основе методики лежат результаты экспериментов на определенном подмножестве </t>
  </si>
  <si>
    <t xml:space="preserve">    драйверов и, разумеется, эту программу нельзя считать догмой.</t>
  </si>
  <si>
    <t>3. Остался неразгаданным фактор Кодзуми. Наверное это секрет фирмы.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</si>
</sst>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E+00"/>
    <numFmt numFmtId="174" formatCode="0.00\7"/>
    <numFmt numFmtId="175" formatCode="00.00E+00"/>
    <numFmt numFmtId="176" formatCode="000.00E+00"/>
    <numFmt numFmtId="177" formatCode="00.00"/>
    <numFmt numFmtId="178" formatCode="00.000"/>
    <numFmt numFmtId="179" formatCode="0.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sz val="12"/>
      <color indexed="11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sz val="10"/>
      <name val="Arial"/>
      <family val="0"/>
    </font>
    <font>
      <sz val="12"/>
      <color indexed="9"/>
      <name val="Arial"/>
      <family val="0"/>
    </font>
    <font>
      <b/>
      <sz val="16"/>
      <color indexed="9"/>
      <name val="Arial"/>
      <family val="0"/>
    </font>
    <font>
      <sz val="9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i/>
      <sz val="9"/>
      <name val="Arial"/>
      <family val="0"/>
    </font>
    <font>
      <i/>
      <sz val="10"/>
      <color indexed="8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2" fontId="8" fillId="0" borderId="0" xfId="0" applyNumberFormat="1" applyFont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2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2" fontId="11" fillId="0" borderId="0" xfId="0" applyNumberFormat="1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8" fontId="8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11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72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172" fontId="14" fillId="2" borderId="0" xfId="0" applyNumberFormat="1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2" fontId="22" fillId="0" borderId="0" xfId="0" applyNumberFormat="1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172" fontId="11" fillId="0" borderId="0" xfId="0" applyNumberFormat="1" applyFont="1" applyFill="1" applyBorder="1" applyAlignment="1" applyProtection="1">
      <alignment horizontal="left"/>
      <protection/>
    </xf>
    <xf numFmtId="172" fontId="22" fillId="0" borderId="0" xfId="0" applyNumberFormat="1" applyFont="1" applyFill="1" applyBorder="1" applyAlignment="1" applyProtection="1">
      <alignment horizontal="left"/>
      <protection/>
    </xf>
    <xf numFmtId="0" fontId="11" fillId="0" borderId="2" xfId="0" applyFont="1" applyBorder="1" applyAlignment="1" applyProtection="1">
      <alignment horizontal="left"/>
      <protection/>
    </xf>
    <xf numFmtId="172" fontId="11" fillId="0" borderId="2" xfId="0" applyNumberFormat="1" applyFont="1" applyFill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72" fontId="1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72" fontId="9" fillId="0" borderId="0" xfId="0" applyNumberFormat="1" applyFont="1" applyAlignment="1" applyProtection="1">
      <alignment horizontal="left"/>
      <protection locked="0"/>
    </xf>
    <xf numFmtId="173" fontId="9" fillId="0" borderId="0" xfId="0" applyNumberFormat="1" applyFont="1" applyFill="1" applyAlignment="1" applyProtection="1">
      <alignment horizontal="left"/>
      <protection locked="0"/>
    </xf>
    <xf numFmtId="172" fontId="9" fillId="0" borderId="0" xfId="0" applyNumberFormat="1" applyFont="1" applyFill="1" applyBorder="1" applyAlignment="1" applyProtection="1">
      <alignment horizontal="left"/>
      <protection locked="0"/>
    </xf>
    <xf numFmtId="172" fontId="9" fillId="0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3">
      <selection activeCell="B20" sqref="B20"/>
    </sheetView>
  </sheetViews>
  <sheetFormatPr defaultColWidth="9.00390625" defaultRowHeight="12.75"/>
  <cols>
    <col min="1" max="1" width="18.625" style="6" customWidth="1"/>
    <col min="2" max="2" width="15.25390625" style="6" customWidth="1"/>
    <col min="3" max="3" width="11.75390625" style="6" customWidth="1"/>
    <col min="4" max="4" width="14.375" style="6" customWidth="1"/>
    <col min="5" max="5" width="10.75390625" style="6" customWidth="1"/>
    <col min="6" max="6" width="16.25390625" style="6" customWidth="1"/>
    <col min="7" max="7" width="10.75390625" style="6" customWidth="1"/>
    <col min="8" max="8" width="13.75390625" style="6" customWidth="1"/>
    <col min="9" max="9" width="7.25390625" style="6" customWidth="1"/>
    <col min="10" max="16384" width="10.75390625" style="6" customWidth="1"/>
  </cols>
  <sheetData>
    <row r="1" spans="1:6" ht="36.75" customHeight="1">
      <c r="A1" s="2" t="s">
        <v>33</v>
      </c>
      <c r="B1" s="3"/>
      <c r="C1" s="4" t="s">
        <v>40</v>
      </c>
      <c r="D1" s="3"/>
      <c r="E1" s="5"/>
      <c r="F1" s="3"/>
    </row>
    <row r="2" spans="1:6" s="8" customFormat="1" ht="18" customHeight="1">
      <c r="A2" s="7" t="s">
        <v>35</v>
      </c>
      <c r="B2" s="3"/>
      <c r="C2" s="3"/>
      <c r="D2" s="3"/>
      <c r="E2" s="3"/>
      <c r="F2" s="3"/>
    </row>
    <row r="3" spans="1:12" s="15" customFormat="1" ht="15.75">
      <c r="A3" s="61" t="s">
        <v>76</v>
      </c>
      <c r="B3" s="62" t="s">
        <v>34</v>
      </c>
      <c r="C3" s="59">
        <v>1.57</v>
      </c>
      <c r="D3" s="63" t="s">
        <v>0</v>
      </c>
      <c r="E3" s="60">
        <f>B8*C3</f>
        <v>40.349000000000004</v>
      </c>
      <c r="F3" s="64" t="s">
        <v>1</v>
      </c>
      <c r="G3" s="9"/>
      <c r="H3" s="12"/>
      <c r="I3" s="9"/>
      <c r="J3" s="13"/>
      <c r="K3" s="14"/>
      <c r="L3" s="13"/>
    </row>
    <row r="4" spans="1:12" s="15" customFormat="1" ht="15.75">
      <c r="A4" s="9"/>
      <c r="B4" s="10"/>
      <c r="C4" s="11"/>
      <c r="D4" s="13"/>
      <c r="E4" s="57"/>
      <c r="F4" s="13"/>
      <c r="G4" s="9"/>
      <c r="H4" s="12"/>
      <c r="I4" s="9"/>
      <c r="J4" s="13"/>
      <c r="K4" s="14"/>
      <c r="L4" s="13"/>
    </row>
    <row r="5" spans="1:12" s="51" customFormat="1" ht="12.75">
      <c r="A5" s="51" t="s">
        <v>80</v>
      </c>
      <c r="B5" s="52"/>
      <c r="C5" s="53"/>
      <c r="D5" s="55"/>
      <c r="E5" s="58"/>
      <c r="F5" s="55"/>
      <c r="H5" s="54"/>
      <c r="J5" s="55"/>
      <c r="K5" s="56"/>
      <c r="L5" s="55"/>
    </row>
    <row r="6" spans="1:12" ht="15.75">
      <c r="A6" s="16"/>
      <c r="B6" s="16"/>
      <c r="C6" s="17"/>
      <c r="D6" s="18"/>
      <c r="E6" s="19"/>
      <c r="F6" s="18"/>
      <c r="G6" s="20"/>
      <c r="H6" s="21"/>
      <c r="I6" s="20"/>
      <c r="J6" s="18"/>
      <c r="K6" s="22"/>
      <c r="L6" s="18"/>
    </row>
    <row r="7" spans="1:9" ht="15" customHeight="1">
      <c r="A7" s="23" t="s">
        <v>44</v>
      </c>
      <c r="B7" s="3"/>
      <c r="C7" s="3"/>
      <c r="D7" s="3"/>
      <c r="E7" s="3"/>
      <c r="F7" s="3"/>
      <c r="G7" s="20"/>
      <c r="H7" s="24"/>
      <c r="I7" s="20"/>
    </row>
    <row r="8" spans="1:9" ht="15.75">
      <c r="A8" s="6" t="s">
        <v>2</v>
      </c>
      <c r="B8" s="72">
        <v>25.7</v>
      </c>
      <c r="C8" s="6" t="s">
        <v>1</v>
      </c>
      <c r="D8" s="25" t="s">
        <v>70</v>
      </c>
      <c r="E8" s="26"/>
      <c r="F8" s="26"/>
      <c r="G8" s="20"/>
      <c r="H8" s="21"/>
      <c r="I8" s="20"/>
    </row>
    <row r="9" spans="1:9" ht="15.75">
      <c r="A9" s="6" t="s">
        <v>3</v>
      </c>
      <c r="B9" s="72">
        <v>6.1</v>
      </c>
      <c r="C9" s="6" t="s">
        <v>4</v>
      </c>
      <c r="D9" s="25" t="s">
        <v>45</v>
      </c>
      <c r="E9" s="26"/>
      <c r="F9" s="26"/>
      <c r="G9" s="20"/>
      <c r="H9" s="21"/>
      <c r="I9" s="20"/>
    </row>
    <row r="10" spans="1:8" ht="15.75">
      <c r="A10" s="6" t="s">
        <v>5</v>
      </c>
      <c r="B10" s="72">
        <v>2.054</v>
      </c>
      <c r="D10" s="25" t="s">
        <v>46</v>
      </c>
      <c r="E10" s="26"/>
      <c r="F10" s="26"/>
      <c r="G10" s="20"/>
      <c r="H10" s="27"/>
    </row>
    <row r="11" spans="1:11" ht="15.75">
      <c r="A11" s="6" t="s">
        <v>7</v>
      </c>
      <c r="B11" s="72">
        <v>0.222</v>
      </c>
      <c r="D11" s="25" t="s">
        <v>47</v>
      </c>
      <c r="E11" s="26"/>
      <c r="F11" s="26"/>
      <c r="G11" s="20"/>
      <c r="H11" s="1"/>
      <c r="K11" s="28"/>
    </row>
    <row r="12" spans="1:9" ht="15.75">
      <c r="A12" s="6" t="s">
        <v>8</v>
      </c>
      <c r="B12" s="1">
        <f>1/(1/B11+1/B10)</f>
        <v>0.20034622144112477</v>
      </c>
      <c r="D12" s="25" t="s">
        <v>49</v>
      </c>
      <c r="E12" s="26"/>
      <c r="F12" s="26"/>
      <c r="G12" s="20"/>
      <c r="H12" s="24"/>
      <c r="I12" s="20"/>
    </row>
    <row r="13" spans="1:9" ht="15.75">
      <c r="A13" s="6" t="s">
        <v>9</v>
      </c>
      <c r="B13" s="72">
        <v>21.9</v>
      </c>
      <c r="C13" s="29" t="s">
        <v>10</v>
      </c>
      <c r="D13" s="25" t="s">
        <v>71</v>
      </c>
      <c r="E13" s="26"/>
      <c r="F13" s="26"/>
      <c r="G13" s="20"/>
      <c r="H13" s="1"/>
      <c r="I13" s="20"/>
    </row>
    <row r="14" spans="1:6" ht="15">
      <c r="A14" s="8" t="s">
        <v>11</v>
      </c>
      <c r="B14" s="73">
        <v>0.0343</v>
      </c>
      <c r="C14" s="30" t="s">
        <v>39</v>
      </c>
      <c r="D14" s="25" t="s">
        <v>72</v>
      </c>
      <c r="E14" s="26"/>
      <c r="F14" s="26"/>
    </row>
    <row r="15" spans="1:6" ht="15">
      <c r="A15" s="31" t="s">
        <v>36</v>
      </c>
      <c r="B15" s="74">
        <v>0.3</v>
      </c>
      <c r="C15" s="31" t="s">
        <v>4</v>
      </c>
      <c r="D15" s="25" t="s">
        <v>73</v>
      </c>
      <c r="E15" s="26"/>
      <c r="F15" s="26"/>
    </row>
    <row r="16" spans="1:6" ht="15">
      <c r="A16" s="6" t="s">
        <v>14</v>
      </c>
      <c r="B16" s="32">
        <f>(1/(((2*3.1416*B8)*(2*3.1416*B8))*B13))*1000</f>
        <v>0.0017511682342726675</v>
      </c>
      <c r="C16" s="29"/>
      <c r="D16" s="25" t="s">
        <v>74</v>
      </c>
      <c r="E16" s="26"/>
      <c r="F16" s="26"/>
    </row>
    <row r="17" spans="1:6" ht="15">
      <c r="A17" s="6" t="s">
        <v>15</v>
      </c>
      <c r="B17" s="1">
        <f>((B16*(B14*B14))*((344.5*344.5)*1.18))*1000</f>
        <v>288.52042983317403</v>
      </c>
      <c r="C17" s="29" t="s">
        <v>12</v>
      </c>
      <c r="D17" s="25" t="s">
        <v>48</v>
      </c>
      <c r="E17" s="26"/>
      <c r="F17" s="26"/>
    </row>
    <row r="18" spans="1:4" ht="15">
      <c r="A18" s="6" t="s">
        <v>16</v>
      </c>
      <c r="B18" s="1">
        <f>B17*(H28*H28)</f>
        <v>12.626485312809075</v>
      </c>
      <c r="D18" s="25"/>
    </row>
    <row r="19" spans="1:4" ht="15">
      <c r="A19" s="6" t="s">
        <v>17</v>
      </c>
      <c r="B19" s="75">
        <v>6.34</v>
      </c>
      <c r="C19" s="29" t="s">
        <v>29</v>
      </c>
      <c r="D19" s="25" t="s">
        <v>52</v>
      </c>
    </row>
    <row r="20" spans="2:4" ht="15">
      <c r="B20" s="33"/>
      <c r="C20" s="29"/>
      <c r="D20" s="25" t="s">
        <v>50</v>
      </c>
    </row>
    <row r="21" spans="2:4" ht="15">
      <c r="B21" s="33"/>
      <c r="C21" s="29"/>
      <c r="D21" s="25" t="s">
        <v>75</v>
      </c>
    </row>
    <row r="22" spans="2:4" ht="15">
      <c r="B22" s="33"/>
      <c r="C22" s="29"/>
      <c r="D22" s="25" t="s">
        <v>51</v>
      </c>
    </row>
    <row r="23" spans="1:4" ht="15.75">
      <c r="A23" s="20"/>
      <c r="B23" s="33"/>
      <c r="C23" s="34"/>
      <c r="D23" s="25" t="s">
        <v>79</v>
      </c>
    </row>
    <row r="24" spans="1:6" ht="15.75">
      <c r="A24" s="23" t="s">
        <v>56</v>
      </c>
      <c r="B24" s="35"/>
      <c r="C24" s="36"/>
      <c r="D24" s="23"/>
      <c r="E24" s="3"/>
      <c r="F24" s="3"/>
    </row>
    <row r="25" spans="1:6" ht="15">
      <c r="A25" s="31" t="s">
        <v>18</v>
      </c>
      <c r="B25" s="37">
        <f>(1/SQRT(B19))*(B8/H28)</f>
        <v>48.79053055358483</v>
      </c>
      <c r="C25" s="31" t="s">
        <v>1</v>
      </c>
      <c r="D25" s="25" t="s">
        <v>53</v>
      </c>
      <c r="E25" s="26"/>
      <c r="F25" s="26"/>
    </row>
    <row r="26" spans="1:6" ht="15">
      <c r="A26" s="31" t="s">
        <v>19</v>
      </c>
      <c r="B26" s="37">
        <f>0.39*(B8/H28)</f>
        <v>47.91205257868628</v>
      </c>
      <c r="C26" s="31" t="s">
        <v>1</v>
      </c>
      <c r="D26" s="25" t="s">
        <v>54</v>
      </c>
      <c r="F26" s="38"/>
    </row>
    <row r="27" spans="1:8" ht="15">
      <c r="A27" s="31" t="s">
        <v>20</v>
      </c>
      <c r="B27" s="37">
        <f>(B49/(1.4))/10</f>
        <v>5.717994063086396</v>
      </c>
      <c r="D27" s="65" t="s">
        <v>42</v>
      </c>
      <c r="F27" s="31"/>
      <c r="H27" s="66">
        <f>(B9+B15)/B9*B11</f>
        <v>0.23291803278688525</v>
      </c>
    </row>
    <row r="28" spans="1:8" ht="15">
      <c r="A28" s="31" t="s">
        <v>21</v>
      </c>
      <c r="B28" s="37">
        <f>POWER((POWER((2*PI()*B26),2)*B27),-1)*10000000</f>
        <v>19.297764839890142</v>
      </c>
      <c r="D28" s="65" t="s">
        <v>43</v>
      </c>
      <c r="F28" s="31"/>
      <c r="H28" s="66">
        <f>1/(1/H27+1/B10)</f>
        <v>0.2091957964760362</v>
      </c>
    </row>
    <row r="29" spans="1:8" ht="15">
      <c r="A29" s="31" t="s">
        <v>32</v>
      </c>
      <c r="B29" s="37">
        <f>(B41*B42)*B43</f>
        <v>304</v>
      </c>
      <c r="C29" s="31" t="s">
        <v>38</v>
      </c>
      <c r="D29" s="67" t="s">
        <v>77</v>
      </c>
      <c r="F29" s="31"/>
      <c r="H29" s="66">
        <f>E15/H30</f>
        <v>0</v>
      </c>
    </row>
    <row r="30" spans="1:8" ht="15.75">
      <c r="A30" s="31" t="s">
        <v>23</v>
      </c>
      <c r="B30" s="37">
        <f>0.000000000964*B8^3*B17/B11</f>
        <v>0.0212666948708715</v>
      </c>
      <c r="C30" s="31"/>
      <c r="D30" s="68" t="s">
        <v>22</v>
      </c>
      <c r="F30" s="31"/>
      <c r="H30" s="66">
        <f>B17*(H28*H28)</f>
        <v>12.626485312809075</v>
      </c>
    </row>
    <row r="31" spans="1:8" ht="15">
      <c r="A31" s="31" t="s">
        <v>24</v>
      </c>
      <c r="B31" s="37">
        <f>112+10*LOG(B30)+20*LOG(B9/(B9+B15))</f>
        <v>94.85999722023398</v>
      </c>
      <c r="C31" s="31" t="s">
        <v>25</v>
      </c>
      <c r="D31" s="65" t="s">
        <v>55</v>
      </c>
      <c r="F31" s="31"/>
      <c r="H31" s="69"/>
    </row>
    <row r="32" spans="4:6" ht="15.75">
      <c r="D32" s="70"/>
      <c r="E32" s="69"/>
      <c r="F32" s="31"/>
    </row>
    <row r="33" spans="1:6" ht="15.75">
      <c r="A33" s="20"/>
      <c r="B33" s="1"/>
      <c r="C33" s="20"/>
      <c r="D33" s="70"/>
      <c r="E33" s="69"/>
      <c r="F33" s="31"/>
    </row>
    <row r="34" spans="1:6" ht="15.75">
      <c r="A34" s="23" t="s">
        <v>57</v>
      </c>
      <c r="B34" s="35"/>
      <c r="C34" s="23"/>
      <c r="D34" s="39"/>
      <c r="E34" s="39"/>
      <c r="F34" s="71"/>
    </row>
    <row r="35" spans="1:4" ht="15">
      <c r="A35" s="31" t="s">
        <v>30</v>
      </c>
      <c r="B35" s="37">
        <f>((B28*B29)/1.293)/100</f>
        <v>45.37138833199229</v>
      </c>
      <c r="C35" s="31" t="s">
        <v>6</v>
      </c>
      <c r="D35" s="25" t="s">
        <v>58</v>
      </c>
    </row>
    <row r="36" spans="1:4" ht="15">
      <c r="A36" s="31" t="s">
        <v>31</v>
      </c>
      <c r="B36" s="37">
        <f>B35-(1.4*(SQRT(B29/(2*3.1416))))</f>
        <v>35.63328484432377</v>
      </c>
      <c r="C36" s="31" t="s">
        <v>6</v>
      </c>
      <c r="D36" s="25" t="s">
        <v>59</v>
      </c>
    </row>
    <row r="37" spans="1:4" ht="15">
      <c r="A37" s="31"/>
      <c r="B37" s="40"/>
      <c r="C37" s="31"/>
      <c r="D37" s="50" t="s">
        <v>60</v>
      </c>
    </row>
    <row r="38" spans="1:4" ht="15">
      <c r="A38" s="31"/>
      <c r="B38" s="40"/>
      <c r="C38" s="31"/>
      <c r="D38" s="50" t="s">
        <v>61</v>
      </c>
    </row>
    <row r="40" spans="1:6" ht="15.75">
      <c r="A40" s="23" t="s">
        <v>68</v>
      </c>
      <c r="B40" s="3"/>
      <c r="C40" s="3"/>
      <c r="D40" s="41"/>
      <c r="E40" s="41"/>
      <c r="F40" s="41"/>
    </row>
    <row r="41" spans="1:5" ht="15">
      <c r="A41" s="42" t="s">
        <v>26</v>
      </c>
      <c r="B41" s="74">
        <v>4</v>
      </c>
      <c r="C41" s="43" t="s">
        <v>6</v>
      </c>
      <c r="D41" s="25" t="s">
        <v>62</v>
      </c>
      <c r="E41" s="26"/>
    </row>
    <row r="42" spans="1:4" ht="15">
      <c r="A42" s="42" t="s">
        <v>27</v>
      </c>
      <c r="B42" s="74">
        <v>9.5</v>
      </c>
      <c r="C42" s="43" t="s">
        <v>6</v>
      </c>
      <c r="D42" s="25" t="s">
        <v>63</v>
      </c>
    </row>
    <row r="43" spans="1:4" ht="15">
      <c r="A43" s="44" t="s">
        <v>28</v>
      </c>
      <c r="B43" s="74">
        <v>8</v>
      </c>
      <c r="C43" s="31"/>
      <c r="D43" s="25" t="s">
        <v>69</v>
      </c>
    </row>
    <row r="44" spans="1:4" ht="15">
      <c r="A44" s="44" t="s">
        <v>32</v>
      </c>
      <c r="B44" s="37">
        <f>(B41*B42)*B43</f>
        <v>304</v>
      </c>
      <c r="C44" s="31" t="s">
        <v>38</v>
      </c>
      <c r="D44" s="25" t="s">
        <v>64</v>
      </c>
    </row>
    <row r="45" spans="1:4" ht="15">
      <c r="A45" s="44" t="s">
        <v>37</v>
      </c>
      <c r="B45" s="37">
        <f>(B29*B36)/1000</f>
        <v>10.832518592674425</v>
      </c>
      <c r="C45" s="31" t="s">
        <v>12</v>
      </c>
      <c r="D45" s="25" t="s">
        <v>78</v>
      </c>
    </row>
    <row r="46" spans="1:4" ht="15.75">
      <c r="A46" s="45"/>
      <c r="B46" s="37"/>
      <c r="C46" s="31"/>
      <c r="D46" s="25"/>
    </row>
    <row r="47" spans="1:3" ht="15.75">
      <c r="A47" s="45"/>
      <c r="B47" s="37"/>
      <c r="C47" s="31"/>
    </row>
    <row r="48" spans="1:6" ht="15.75">
      <c r="A48" s="46" t="s">
        <v>67</v>
      </c>
      <c r="B48" s="47"/>
      <c r="C48" s="48"/>
      <c r="D48" s="3"/>
      <c r="E48" s="3"/>
      <c r="F48" s="3"/>
    </row>
    <row r="49" spans="1:4" ht="15">
      <c r="A49" s="49" t="s">
        <v>13</v>
      </c>
      <c r="B49" s="37">
        <f>B19*B17*(H28*H28)</f>
        <v>80.05191688320953</v>
      </c>
      <c r="C49" s="49" t="s">
        <v>12</v>
      </c>
      <c r="D49" s="25" t="s">
        <v>65</v>
      </c>
    </row>
    <row r="50" spans="1:4" ht="15">
      <c r="A50" s="31" t="s">
        <v>41</v>
      </c>
      <c r="B50" s="37">
        <f>B45+B49</f>
        <v>90.88443547588395</v>
      </c>
      <c r="C50" s="31" t="s">
        <v>12</v>
      </c>
      <c r="D50" s="25" t="s">
        <v>66</v>
      </c>
    </row>
    <row r="51" spans="1:3" ht="15">
      <c r="A51" s="26"/>
      <c r="B51" s="26"/>
      <c r="C51" s="26"/>
    </row>
    <row r="55" ht="15">
      <c r="A55" s="6" t="s">
        <v>81</v>
      </c>
    </row>
    <row r="57" ht="15">
      <c r="A57" s="6" t="s">
        <v>82</v>
      </c>
    </row>
    <row r="58" ht="15">
      <c r="A58" s="6" t="s">
        <v>83</v>
      </c>
    </row>
    <row r="59" ht="15">
      <c r="A59" s="6" t="s">
        <v>84</v>
      </c>
    </row>
    <row r="60" ht="15">
      <c r="A60" s="6" t="s">
        <v>85</v>
      </c>
    </row>
    <row r="61" ht="15">
      <c r="A61" s="6" t="s">
        <v>86</v>
      </c>
    </row>
  </sheetData>
  <sheetProtection sheet="1" objects="1" scenarios="1"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Cyr-Marc</dc:creator>
  <cp:keywords/>
  <dc:description/>
  <cp:lastModifiedBy>Пашка</cp:lastModifiedBy>
  <dcterms:created xsi:type="dcterms:W3CDTF">2000-10-12T05:34:04Z</dcterms:created>
  <dcterms:modified xsi:type="dcterms:W3CDTF">2005-02-25T17:00:22Z</dcterms:modified>
  <cp:category/>
  <cp:version/>
  <cp:contentType/>
  <cp:contentStatus/>
</cp:coreProperties>
</file>